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05" windowWidth="20115" windowHeight="7755"/>
  </bookViews>
  <sheets>
    <sheet name="4.4.1" sheetId="1" r:id="rId1"/>
  </sheets>
  <calcPr calcId="125725"/>
</workbook>
</file>

<file path=xl/calcChain.xml><?xml version="1.0" encoding="utf-8"?>
<calcChain xmlns="http://schemas.openxmlformats.org/spreadsheetml/2006/main">
  <c r="C155" i="1"/>
  <c r="C154"/>
  <c r="C153"/>
  <c r="C152"/>
  <c r="C151"/>
  <c r="C150"/>
  <c r="C149"/>
  <c r="C148"/>
  <c r="C147"/>
  <c r="C146"/>
  <c r="C145"/>
  <c r="C144"/>
  <c r="C143"/>
  <c r="C142"/>
  <c r="C141"/>
  <c r="C156" s="1"/>
  <c r="C139"/>
  <c r="C138"/>
  <c r="C137"/>
  <c r="C136"/>
  <c r="C135"/>
  <c r="C134"/>
  <c r="C133"/>
  <c r="C132"/>
  <c r="C130"/>
  <c r="C129"/>
  <c r="C128"/>
  <c r="C140" s="1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24" s="1"/>
  <c r="C105"/>
  <c r="C104"/>
  <c r="C103"/>
  <c r="C102"/>
  <c r="C101"/>
  <c r="C100"/>
  <c r="C99"/>
  <c r="C98"/>
  <c r="C97"/>
  <c r="C96"/>
  <c r="C106" s="1"/>
  <c r="C95"/>
  <c r="C90"/>
  <c r="C89"/>
  <c r="C88"/>
  <c r="C87"/>
  <c r="C86"/>
  <c r="C85"/>
  <c r="C84"/>
  <c r="C83"/>
  <c r="C82"/>
  <c r="C81"/>
  <c r="C91" s="1"/>
  <c r="C92" s="1"/>
  <c r="C80"/>
  <c r="C78"/>
  <c r="C77"/>
  <c r="C76"/>
  <c r="C75"/>
  <c r="C74"/>
  <c r="C73"/>
  <c r="C72"/>
  <c r="C71"/>
  <c r="C70"/>
  <c r="C69"/>
  <c r="C68"/>
  <c r="C67"/>
  <c r="C79" s="1"/>
  <c r="C62"/>
  <c r="C61"/>
  <c r="C60"/>
  <c r="C59"/>
  <c r="C58"/>
  <c r="C57"/>
  <c r="C56"/>
  <c r="C55"/>
  <c r="C54"/>
  <c r="C53"/>
  <c r="C52"/>
  <c r="C51"/>
  <c r="C63" s="1"/>
  <c r="C64" s="1"/>
  <c r="C50"/>
  <c r="C48"/>
  <c r="C47"/>
  <c r="C46"/>
  <c r="C45"/>
  <c r="C44"/>
  <c r="C43"/>
  <c r="C42"/>
  <c r="C41"/>
  <c r="C49" s="1"/>
  <c r="C40"/>
  <c r="C39"/>
  <c r="C38"/>
  <c r="C32"/>
  <c r="C31"/>
  <c r="C30"/>
  <c r="C29"/>
  <c r="C28"/>
  <c r="C27"/>
  <c r="C26"/>
  <c r="C25"/>
  <c r="C24"/>
  <c r="C23"/>
  <c r="C22"/>
  <c r="C21"/>
  <c r="C33" s="1"/>
  <c r="C34" s="1"/>
  <c r="C20"/>
  <c r="C18"/>
  <c r="C17"/>
  <c r="C16"/>
  <c r="C15"/>
  <c r="C14"/>
  <c r="C13"/>
  <c r="C12"/>
  <c r="C11"/>
  <c r="C10"/>
  <c r="C9"/>
  <c r="C8"/>
  <c r="C7"/>
  <c r="C6"/>
  <c r="C19" s="1"/>
  <c r="C125" l="1"/>
  <c r="C157"/>
</calcChain>
</file>

<file path=xl/sharedStrings.xml><?xml version="1.0" encoding="utf-8"?>
<sst xmlns="http://schemas.openxmlformats.org/spreadsheetml/2006/main" count="181" uniqueCount="64">
  <si>
    <t>4.4.1 Percentage expenditure incurred on maintenance of physical facilities and academic support facilities excluding salary component, during the last five years</t>
  </si>
  <si>
    <t>Furniture Repairs &amp; Maintenance</t>
  </si>
  <si>
    <t>2022-23</t>
  </si>
  <si>
    <t>2021-22</t>
  </si>
  <si>
    <t>2020-21</t>
  </si>
  <si>
    <t>2019-20</t>
  </si>
  <si>
    <t>2018-19</t>
  </si>
  <si>
    <r>
      <t xml:space="preserve">BHARATI VIDYAPEETH’S
</t>
    </r>
    <r>
      <rPr>
        <b/>
        <sz val="14"/>
        <color theme="1"/>
        <rFont val="Calibri"/>
        <family val="2"/>
        <scheme val="minor"/>
      </rPr>
      <t>COLLEGE OF FINE ARTS</t>
    </r>
    <r>
      <rPr>
        <sz val="11"/>
        <color theme="1"/>
        <rFont val="Calibri"/>
        <family val="2"/>
        <scheme val="minor"/>
      </rPr>
      <t xml:space="preserve">
Approved by AICTE Affiliated to Savitribai Phule Pune University, Pune</t>
    </r>
  </si>
  <si>
    <t>Head of Expenditure (For Example Repairs &amp; Maintainance)</t>
  </si>
  <si>
    <t>Item for Expenditure (For Ex.  Amc for Lab equipement and Computers Garden Maintainance Etc</t>
  </si>
  <si>
    <t>Amount Inr In (Lakhs)</t>
  </si>
  <si>
    <t xml:space="preserve">MAINTAINANCE OF PHYSICAL </t>
  </si>
  <si>
    <t>Architectural Charges</t>
  </si>
  <si>
    <t>FACILITIES</t>
  </si>
  <si>
    <t>Building Insurance</t>
  </si>
  <si>
    <t>Building Tax</t>
  </si>
  <si>
    <t>Cleaning &amp; Sweeping Exps.</t>
  </si>
  <si>
    <t>Computer Repairs &amp; Maintanance</t>
  </si>
  <si>
    <t>Electrity &amp; Electrical Exps.</t>
  </si>
  <si>
    <t>Garden Exps.</t>
  </si>
  <si>
    <t>Common Service Charges</t>
  </si>
  <si>
    <t>Faculty Development Programme</t>
  </si>
  <si>
    <t>Repairs &amp; Maintaince</t>
  </si>
  <si>
    <t>Securety Expenses</t>
  </si>
  <si>
    <t>Water Charges</t>
  </si>
  <si>
    <t>Sub. Total Rs.</t>
  </si>
  <si>
    <t>MAINTAINANCE ON ACADEMIC SUPPORT FACILITY</t>
  </si>
  <si>
    <t>Annual Exhibition &amp; Gathering Exps.</t>
  </si>
  <si>
    <t>Computer Lab Expenses</t>
  </si>
  <si>
    <t>Gymkhana Expenses</t>
  </si>
  <si>
    <t>Internet Expenses</t>
  </si>
  <si>
    <t>Magzine Periodicals</t>
  </si>
  <si>
    <t>Model Expenses</t>
  </si>
  <si>
    <t>News Paper &amp; Periodicals</t>
  </si>
  <si>
    <t>Seminar &amp; Work Shop</t>
  </si>
  <si>
    <t>Software Exp</t>
  </si>
  <si>
    <t xml:space="preserve">Student Acitivity </t>
  </si>
  <si>
    <t>Function Exps.</t>
  </si>
  <si>
    <t>Meeting Committee &amp; Selection Exps.</t>
  </si>
  <si>
    <t>Administraive charges</t>
  </si>
  <si>
    <t>Grand Total</t>
  </si>
  <si>
    <t>BY ADMINISTRATIVE EXPS.</t>
  </si>
  <si>
    <t>Building Maint</t>
  </si>
  <si>
    <t>Electrity &amp; Electrical Exp</t>
  </si>
  <si>
    <t>Garden Exp</t>
  </si>
  <si>
    <t>Fee Concession</t>
  </si>
  <si>
    <t>NSS Exp</t>
  </si>
  <si>
    <t>Function Exp</t>
  </si>
  <si>
    <t>Miscleneious Exp.</t>
  </si>
  <si>
    <t>Computer Repairs&amp; Maintanance</t>
  </si>
  <si>
    <t>Exam Exp</t>
  </si>
  <si>
    <t>Furniture Repaires &amp; Maintanance</t>
  </si>
  <si>
    <t>Designing Cell Expenses</t>
  </si>
  <si>
    <t>Gymkhana Exps.</t>
  </si>
  <si>
    <t>Library E Journals</t>
  </si>
  <si>
    <t>Model Exp</t>
  </si>
  <si>
    <t>Photography Lab. Exps.</t>
  </si>
  <si>
    <t>Student Welfare Activity Exps.</t>
  </si>
  <si>
    <t>Website Maintenance Exps.</t>
  </si>
  <si>
    <t>Water Charges.</t>
  </si>
  <si>
    <t>Computer Lab Exp</t>
  </si>
  <si>
    <t>Legal Exp.</t>
  </si>
  <si>
    <t>Print Making Workshop</t>
  </si>
  <si>
    <t>Sculpture Lab. Exp.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</si>
</sst>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&quot;&quot;0"/>
    <numFmt numFmtId="165" formatCode="_ * #,##0.00_ ;_ * \-#,##0.00_ ;_ * &quot;-&quot;??_ ;_ @_ "/>
    <numFmt numFmtId="166" formatCode="&quot;&quot;0.00"/>
  </numFmts>
  <fonts count="1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9"/>
      <name val="Arial Narrow"/>
      <family val="2"/>
    </font>
    <font>
      <i/>
      <sz val="9"/>
      <color theme="1"/>
      <name val="Arial Narrow"/>
      <family val="2"/>
    </font>
    <font>
      <b/>
      <i/>
      <sz val="9"/>
      <color theme="1"/>
      <name val="Arial Narrow"/>
      <family val="2"/>
    </font>
    <font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left" indent="1"/>
    </xf>
    <xf numFmtId="165" fontId="8" fillId="0" borderId="1" xfId="1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165" fontId="8" fillId="0" borderId="1" xfId="1" applyNumberFormat="1" applyFont="1" applyFill="1" applyBorder="1"/>
    <xf numFmtId="165" fontId="8" fillId="0" borderId="1" xfId="1" applyNumberFormat="1" applyFont="1" applyBorder="1"/>
    <xf numFmtId="49" fontId="9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right" vertical="top" indent="2"/>
    </xf>
    <xf numFmtId="43" fontId="3" fillId="0" borderId="1" xfId="0" applyNumberFormat="1" applyFont="1" applyBorder="1" applyAlignment="1">
      <alignment horizontal="right" vertical="top"/>
    </xf>
    <xf numFmtId="49" fontId="10" fillId="0" borderId="1" xfId="0" applyNumberFormat="1" applyFont="1" applyBorder="1" applyAlignment="1">
      <alignment vertical="top" wrapText="1"/>
    </xf>
    <xf numFmtId="165" fontId="8" fillId="0" borderId="1" xfId="1" applyNumberFormat="1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left" indent="1"/>
    </xf>
    <xf numFmtId="49" fontId="6" fillId="0" borderId="1" xfId="0" applyNumberFormat="1" applyFont="1" applyBorder="1" applyAlignment="1">
      <alignment horizontal="left" vertical="top" indent="2"/>
    </xf>
    <xf numFmtId="49" fontId="10" fillId="0" borderId="1" xfId="0" applyNumberFormat="1" applyFont="1" applyBorder="1" applyAlignment="1">
      <alignment vertical="top"/>
    </xf>
    <xf numFmtId="0" fontId="11" fillId="0" borderId="1" xfId="0" applyFont="1" applyFill="1" applyBorder="1"/>
    <xf numFmtId="49" fontId="3" fillId="0" borderId="1" xfId="0" applyNumberFormat="1" applyFont="1" applyBorder="1" applyAlignment="1">
      <alignment horizontal="left" vertical="top" indent="2"/>
    </xf>
    <xf numFmtId="164" fontId="12" fillId="0" borderId="1" xfId="0" applyNumberFormat="1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indent="2"/>
    </xf>
    <xf numFmtId="49" fontId="9" fillId="0" borderId="1" xfId="0" applyNumberFormat="1" applyFont="1" applyBorder="1" applyAlignment="1">
      <alignment horizontal="left" vertical="top" indent="2"/>
    </xf>
    <xf numFmtId="49" fontId="14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vertical="top"/>
    </xf>
    <xf numFmtId="43" fontId="13" fillId="0" borderId="1" xfId="0" applyNumberFormat="1" applyFont="1" applyBorder="1" applyAlignment="1">
      <alignment horizontal="right" vertical="top"/>
    </xf>
    <xf numFmtId="166" fontId="13" fillId="0" borderId="1" xfId="0" applyNumberFormat="1" applyFont="1" applyBorder="1" applyAlignment="1">
      <alignment horizontal="right" vertical="top"/>
    </xf>
    <xf numFmtId="49" fontId="16" fillId="0" borderId="1" xfId="0" applyNumberFormat="1" applyFont="1" applyBorder="1" applyAlignment="1">
      <alignment horizontal="left" vertical="top" indent="2"/>
    </xf>
    <xf numFmtId="166" fontId="16" fillId="0" borderId="1" xfId="0" applyNumberFormat="1" applyFont="1" applyBorder="1" applyAlignment="1">
      <alignment horizontal="right" vertical="top"/>
    </xf>
    <xf numFmtId="0" fontId="17" fillId="0" borderId="1" xfId="0" applyFont="1" applyBorder="1"/>
    <xf numFmtId="2" fontId="1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66675</xdr:rowOff>
    </xdr:from>
    <xdr:to>
      <xdr:col>1</xdr:col>
      <xdr:colOff>1788774</xdr:colOff>
      <xdr:row>0</xdr:row>
      <xdr:rowOff>1028219</xdr:rowOff>
    </xdr:to>
    <xdr:pic>
      <xdr:nvPicPr>
        <xdr:cNvPr id="2" name="Picture 1" descr="Bharati Vidyapeeth Universit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6025" y="66675"/>
          <a:ext cx="1217274" cy="96154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6"/>
  <dimension ref="A1:D157"/>
  <sheetViews>
    <sheetView tabSelected="1" topLeftCell="A133" zoomScaleNormal="100" workbookViewId="0">
      <selection activeCell="E5" sqref="E5"/>
    </sheetView>
  </sheetViews>
  <sheetFormatPr defaultColWidth="36.28515625" defaultRowHeight="15"/>
  <cols>
    <col min="1" max="1" width="28.7109375" customWidth="1"/>
    <col min="2" max="2" width="27.5703125" customWidth="1"/>
    <col min="3" max="3" width="37.140625" customWidth="1"/>
    <col min="4" max="4" width="17.42578125" style="3" customWidth="1"/>
    <col min="5" max="5" width="17.140625" customWidth="1"/>
    <col min="6" max="6" width="16.85546875" customWidth="1"/>
    <col min="7" max="7" width="16.7109375" customWidth="1"/>
    <col min="8" max="8" width="16.42578125" customWidth="1"/>
    <col min="9" max="9" width="19" customWidth="1"/>
  </cols>
  <sheetData>
    <row r="1" spans="1:4" ht="114.75" customHeight="1">
      <c r="A1" s="6" t="s">
        <v>7</v>
      </c>
      <c r="B1" s="7"/>
      <c r="C1" s="7"/>
      <c r="D1" s="1"/>
    </row>
    <row r="2" spans="1:4" ht="42" customHeight="1">
      <c r="A2" s="8" t="s">
        <v>0</v>
      </c>
      <c r="B2" s="8"/>
      <c r="C2" s="8"/>
      <c r="D2" s="2"/>
    </row>
    <row r="3" spans="1:4" ht="21" customHeight="1">
      <c r="A3" s="9"/>
      <c r="B3" s="9"/>
      <c r="C3" s="9"/>
    </row>
    <row r="4" spans="1:4" ht="18">
      <c r="A4" s="4" t="s">
        <v>2</v>
      </c>
      <c r="B4" s="5"/>
      <c r="C4" s="5"/>
    </row>
    <row r="5" spans="1:4" ht="40.5">
      <c r="A5" s="10" t="s">
        <v>8</v>
      </c>
      <c r="B5" s="11" t="s">
        <v>9</v>
      </c>
      <c r="C5" s="12" t="s">
        <v>10</v>
      </c>
    </row>
    <row r="6" spans="1:4" ht="16.5">
      <c r="A6" s="13" t="s">
        <v>11</v>
      </c>
      <c r="B6" s="14" t="s">
        <v>12</v>
      </c>
      <c r="C6" s="15">
        <f>359804/100000</f>
        <v>3.5980400000000001</v>
      </c>
    </row>
    <row r="7" spans="1:4" ht="16.5">
      <c r="A7" s="13" t="s">
        <v>13</v>
      </c>
      <c r="B7" s="14" t="s">
        <v>14</v>
      </c>
      <c r="C7" s="16">
        <f>29885/100000</f>
        <v>0.29885</v>
      </c>
    </row>
    <row r="8" spans="1:4" ht="16.5">
      <c r="A8" s="13"/>
      <c r="B8" s="14" t="s">
        <v>15</v>
      </c>
      <c r="C8" s="17">
        <f>315856/100000</f>
        <v>3.15856</v>
      </c>
    </row>
    <row r="9" spans="1:4" ht="16.5">
      <c r="A9" s="13"/>
      <c r="B9" s="14" t="s">
        <v>16</v>
      </c>
      <c r="C9" s="15">
        <f>614585/100000</f>
        <v>6.1458500000000003</v>
      </c>
    </row>
    <row r="10" spans="1:4" ht="16.5">
      <c r="A10" s="13"/>
      <c r="B10" s="14" t="s">
        <v>17</v>
      </c>
      <c r="C10" s="15">
        <f>429430/100000</f>
        <v>4.2942999999999998</v>
      </c>
    </row>
    <row r="11" spans="1:4" ht="16.5">
      <c r="A11" s="13"/>
      <c r="B11" s="14" t="s">
        <v>18</v>
      </c>
      <c r="C11" s="15">
        <f>171119/100000</f>
        <v>1.71119</v>
      </c>
    </row>
    <row r="12" spans="1:4" ht="16.5">
      <c r="A12" s="13"/>
      <c r="B12" s="14" t="s">
        <v>1</v>
      </c>
      <c r="C12" s="15">
        <f>696718/100000</f>
        <v>6.9671799999999999</v>
      </c>
    </row>
    <row r="13" spans="1:4" ht="16.5">
      <c r="A13" s="13"/>
      <c r="B13" s="14" t="s">
        <v>19</v>
      </c>
      <c r="C13" s="15">
        <f>849873/100000</f>
        <v>8.4987300000000001</v>
      </c>
    </row>
    <row r="14" spans="1:4" ht="16.5">
      <c r="A14" s="13"/>
      <c r="B14" s="14" t="s">
        <v>20</v>
      </c>
      <c r="C14" s="18">
        <f>1316000/100000</f>
        <v>13.16</v>
      </c>
    </row>
    <row r="15" spans="1:4" ht="16.5">
      <c r="A15" s="13"/>
      <c r="B15" s="14" t="s">
        <v>21</v>
      </c>
      <c r="C15" s="15">
        <f>109749/100000</f>
        <v>1.0974900000000001</v>
      </c>
    </row>
    <row r="16" spans="1:4" ht="16.5">
      <c r="A16" s="13"/>
      <c r="B16" s="14" t="s">
        <v>22</v>
      </c>
      <c r="C16" s="17">
        <f>53595/100000</f>
        <v>0.53595000000000004</v>
      </c>
    </row>
    <row r="17" spans="1:3" ht="16.5">
      <c r="A17" s="13"/>
      <c r="B17" s="14" t="s">
        <v>23</v>
      </c>
      <c r="C17" s="17">
        <f>227350/100000</f>
        <v>2.2734999999999999</v>
      </c>
    </row>
    <row r="18" spans="1:3" ht="16.5">
      <c r="A18" s="13"/>
      <c r="B18" s="14" t="s">
        <v>24</v>
      </c>
      <c r="C18" s="17">
        <f>32200/100000</f>
        <v>0.32200000000000001</v>
      </c>
    </row>
    <row r="19" spans="1:3" ht="18">
      <c r="A19" s="19"/>
      <c r="B19" s="20" t="s">
        <v>25</v>
      </c>
      <c r="C19" s="21">
        <f>SUM(C6:C18)</f>
        <v>52.061640000000004</v>
      </c>
    </row>
    <row r="20" spans="1:3" ht="27">
      <c r="A20" s="22" t="s">
        <v>26</v>
      </c>
      <c r="B20" s="14" t="s">
        <v>27</v>
      </c>
      <c r="C20" s="23">
        <f>501143/100000</f>
        <v>5.0114299999999998</v>
      </c>
    </row>
    <row r="21" spans="1:3" ht="16.5">
      <c r="A21" s="19"/>
      <c r="B21" s="14" t="s">
        <v>28</v>
      </c>
      <c r="C21" s="18">
        <f>54756/100000</f>
        <v>0.54756000000000005</v>
      </c>
    </row>
    <row r="22" spans="1:3" ht="16.5">
      <c r="A22" s="19"/>
      <c r="B22" s="24" t="s">
        <v>29</v>
      </c>
      <c r="C22" s="23">
        <f>9270/100000</f>
        <v>9.2700000000000005E-2</v>
      </c>
    </row>
    <row r="23" spans="1:3" ht="16.5">
      <c r="A23" s="19"/>
      <c r="B23" s="24" t="s">
        <v>30</v>
      </c>
      <c r="C23" s="23">
        <f>20180/100000</f>
        <v>0.20180000000000001</v>
      </c>
    </row>
    <row r="24" spans="1:3" ht="16.5">
      <c r="A24" s="19"/>
      <c r="B24" s="23" t="s">
        <v>31</v>
      </c>
      <c r="C24" s="17">
        <f>670/100000</f>
        <v>6.7000000000000002E-3</v>
      </c>
    </row>
    <row r="25" spans="1:3" ht="16.5">
      <c r="A25" s="19"/>
      <c r="B25" s="23" t="s">
        <v>32</v>
      </c>
      <c r="C25" s="17">
        <f>9450/100000</f>
        <v>9.4500000000000001E-2</v>
      </c>
    </row>
    <row r="26" spans="1:3" ht="16.5">
      <c r="A26" s="19"/>
      <c r="B26" s="23" t="s">
        <v>33</v>
      </c>
      <c r="C26" s="17">
        <f>7349/100000</f>
        <v>7.349E-2</v>
      </c>
    </row>
    <row r="27" spans="1:3" ht="16.5">
      <c r="A27" s="19"/>
      <c r="B27" s="23" t="s">
        <v>34</v>
      </c>
      <c r="C27" s="17">
        <f>125073/100000</f>
        <v>1.2507299999999999</v>
      </c>
    </row>
    <row r="28" spans="1:3" ht="16.5">
      <c r="A28" s="19"/>
      <c r="B28" s="23" t="s">
        <v>35</v>
      </c>
      <c r="C28" s="17">
        <f>11942/100000</f>
        <v>0.11942</v>
      </c>
    </row>
    <row r="29" spans="1:3" ht="16.5">
      <c r="A29" s="19"/>
      <c r="B29" s="23" t="s">
        <v>36</v>
      </c>
      <c r="C29" s="17">
        <f>15575/100000</f>
        <v>0.15575</v>
      </c>
    </row>
    <row r="30" spans="1:3" ht="16.5">
      <c r="A30" s="19"/>
      <c r="B30" s="14" t="s">
        <v>37</v>
      </c>
      <c r="C30" s="15">
        <f>41966/100000</f>
        <v>0.41965999999999998</v>
      </c>
    </row>
    <row r="31" spans="1:3" ht="16.5">
      <c r="A31" s="19"/>
      <c r="B31" s="14" t="s">
        <v>38</v>
      </c>
      <c r="C31" s="15">
        <f>7507/100000</f>
        <v>7.5069999999999998E-2</v>
      </c>
    </row>
    <row r="32" spans="1:3" ht="16.5">
      <c r="A32" s="25"/>
      <c r="B32" s="14" t="s">
        <v>39</v>
      </c>
      <c r="C32" s="16">
        <f>1097000/100000</f>
        <v>10.97</v>
      </c>
    </row>
    <row r="33" spans="1:3" ht="18">
      <c r="A33" s="26"/>
      <c r="B33" s="20" t="s">
        <v>25</v>
      </c>
      <c r="C33" s="21">
        <f>SUM(C20:C32)</f>
        <v>19.018810000000002</v>
      </c>
    </row>
    <row r="34" spans="1:3" ht="18">
      <c r="A34" s="26"/>
      <c r="B34" s="20" t="s">
        <v>40</v>
      </c>
      <c r="C34" s="21">
        <f>C33+C19</f>
        <v>71.080450000000013</v>
      </c>
    </row>
    <row r="35" spans="1:3" ht="18">
      <c r="A35" s="4" t="s">
        <v>3</v>
      </c>
      <c r="B35" s="5"/>
      <c r="C35" s="5"/>
    </row>
    <row r="36" spans="1:3" ht="40.5">
      <c r="A36" s="10" t="s">
        <v>8</v>
      </c>
      <c r="B36" s="11" t="s">
        <v>9</v>
      </c>
      <c r="C36" s="12" t="s">
        <v>10</v>
      </c>
    </row>
    <row r="37" spans="1:3" ht="16.5">
      <c r="A37" s="13" t="s">
        <v>11</v>
      </c>
      <c r="B37" s="27" t="s">
        <v>41</v>
      </c>
      <c r="C37" s="15"/>
    </row>
    <row r="38" spans="1:3" ht="16.5">
      <c r="A38" s="13" t="s">
        <v>13</v>
      </c>
      <c r="B38" s="14" t="s">
        <v>14</v>
      </c>
      <c r="C38" s="16">
        <f>39287/100000</f>
        <v>0.39287</v>
      </c>
    </row>
    <row r="39" spans="1:3" ht="16.5">
      <c r="A39" s="25"/>
      <c r="B39" s="14" t="s">
        <v>42</v>
      </c>
      <c r="C39" s="15">
        <f>5611/100000</f>
        <v>5.611E-2</v>
      </c>
    </row>
    <row r="40" spans="1:3" ht="16.5">
      <c r="A40" s="25"/>
      <c r="B40" s="14" t="s">
        <v>15</v>
      </c>
      <c r="C40" s="17">
        <f>1512931/100000</f>
        <v>15.12931</v>
      </c>
    </row>
    <row r="41" spans="1:3" ht="16.5">
      <c r="A41" s="25"/>
      <c r="B41" s="14" t="s">
        <v>16</v>
      </c>
      <c r="C41" s="15">
        <f>361457/100000</f>
        <v>3.6145700000000001</v>
      </c>
    </row>
    <row r="42" spans="1:3" ht="16.5">
      <c r="A42" s="25"/>
      <c r="B42" s="14" t="s">
        <v>17</v>
      </c>
      <c r="C42" s="15">
        <f>183746/100000</f>
        <v>1.8374600000000001</v>
      </c>
    </row>
    <row r="43" spans="1:3" ht="16.5">
      <c r="A43" s="25"/>
      <c r="B43" s="14" t="s">
        <v>43</v>
      </c>
      <c r="C43" s="15">
        <f>21533/100000</f>
        <v>0.21532999999999999</v>
      </c>
    </row>
    <row r="44" spans="1:3" ht="16.5">
      <c r="A44" s="25"/>
      <c r="B44" s="14" t="s">
        <v>1</v>
      </c>
      <c r="C44" s="15">
        <f>2549/100000</f>
        <v>2.5489999999999999E-2</v>
      </c>
    </row>
    <row r="45" spans="1:3" ht="16.5">
      <c r="A45" s="25"/>
      <c r="B45" s="14" t="s">
        <v>44</v>
      </c>
      <c r="C45" s="15">
        <f>710/100000</f>
        <v>7.1000000000000004E-3</v>
      </c>
    </row>
    <row r="46" spans="1:3" ht="16.5">
      <c r="A46" s="25"/>
      <c r="B46" s="14" t="s">
        <v>22</v>
      </c>
      <c r="C46" s="17">
        <f>65328/100000</f>
        <v>0.65327999999999997</v>
      </c>
    </row>
    <row r="47" spans="1:3" ht="16.5">
      <c r="A47" s="25"/>
      <c r="B47" s="14" t="s">
        <v>23</v>
      </c>
      <c r="C47" s="17">
        <f>223020/100000</f>
        <v>2.2302</v>
      </c>
    </row>
    <row r="48" spans="1:3" ht="16.5">
      <c r="A48" s="25"/>
      <c r="B48" s="14" t="s">
        <v>24</v>
      </c>
      <c r="C48" s="17">
        <f>39400/100000</f>
        <v>0.39400000000000002</v>
      </c>
    </row>
    <row r="49" spans="1:3" ht="18">
      <c r="A49" s="28"/>
      <c r="B49" s="29" t="s">
        <v>25</v>
      </c>
      <c r="C49" s="21">
        <f>SUM(C37:C48)</f>
        <v>24.555720000000001</v>
      </c>
    </row>
    <row r="50" spans="1:3" ht="27">
      <c r="A50" s="22" t="s">
        <v>26</v>
      </c>
      <c r="B50" s="14" t="s">
        <v>28</v>
      </c>
      <c r="C50" s="23">
        <f>21961/100000</f>
        <v>0.21961</v>
      </c>
    </row>
    <row r="51" spans="1:3" ht="16.5">
      <c r="A51" s="30"/>
      <c r="B51" s="14" t="s">
        <v>45</v>
      </c>
      <c r="C51" s="23">
        <f>83000/100000</f>
        <v>0.83</v>
      </c>
    </row>
    <row r="52" spans="1:3" ht="16.5">
      <c r="A52" s="30"/>
      <c r="B52" s="24" t="s">
        <v>29</v>
      </c>
      <c r="C52" s="23">
        <f>4410/100000</f>
        <v>4.41E-2</v>
      </c>
    </row>
    <row r="53" spans="1:3" ht="16.5">
      <c r="A53" s="30"/>
      <c r="B53" s="24" t="s">
        <v>30</v>
      </c>
      <c r="C53" s="23">
        <f>13870/100000</f>
        <v>0.13869999999999999</v>
      </c>
    </row>
    <row r="54" spans="1:3" ht="16.5">
      <c r="A54" s="30"/>
      <c r="B54" s="23" t="s">
        <v>31</v>
      </c>
      <c r="C54" s="17">
        <f>75673/100000</f>
        <v>0.75673000000000001</v>
      </c>
    </row>
    <row r="55" spans="1:3" ht="16.5">
      <c r="A55" s="30"/>
      <c r="B55" s="23" t="s">
        <v>33</v>
      </c>
      <c r="C55" s="17">
        <f>4479/100000</f>
        <v>4.4790000000000003E-2</v>
      </c>
    </row>
    <row r="56" spans="1:3" ht="16.5">
      <c r="A56" s="30"/>
      <c r="B56" s="23" t="s">
        <v>46</v>
      </c>
      <c r="C56" s="17">
        <f>1205/100000</f>
        <v>1.205E-2</v>
      </c>
    </row>
    <row r="57" spans="1:3" ht="16.5">
      <c r="A57" s="30"/>
      <c r="B57" s="23" t="s">
        <v>34</v>
      </c>
      <c r="C57" s="17">
        <f>900/100000</f>
        <v>8.9999999999999993E-3</v>
      </c>
    </row>
    <row r="58" spans="1:3" ht="16.5">
      <c r="A58" s="30"/>
      <c r="B58" s="23" t="s">
        <v>35</v>
      </c>
      <c r="C58" s="17">
        <f>136337.2/100000</f>
        <v>1.363372</v>
      </c>
    </row>
    <row r="59" spans="1:3" ht="16.5">
      <c r="A59" s="30"/>
      <c r="B59" s="23" t="s">
        <v>36</v>
      </c>
      <c r="C59" s="17">
        <f>68300/100000</f>
        <v>0.68300000000000005</v>
      </c>
    </row>
    <row r="60" spans="1:3" ht="16.5">
      <c r="A60" s="30"/>
      <c r="B60" s="14" t="s">
        <v>47</v>
      </c>
      <c r="C60" s="15">
        <f>14076/100000</f>
        <v>0.14076</v>
      </c>
    </row>
    <row r="61" spans="1:3" ht="16.5">
      <c r="A61" s="30"/>
      <c r="B61" s="14" t="s">
        <v>48</v>
      </c>
      <c r="C61" s="15">
        <f>99793/100000</f>
        <v>0.99792999999999998</v>
      </c>
    </row>
    <row r="62" spans="1:3" ht="16.5">
      <c r="A62" s="31"/>
      <c r="B62" s="14" t="s">
        <v>39</v>
      </c>
      <c r="C62" s="16">
        <f>1097000/100000</f>
        <v>10.97</v>
      </c>
    </row>
    <row r="63" spans="1:3" ht="18">
      <c r="A63" s="30"/>
      <c r="B63" s="20" t="s">
        <v>25</v>
      </c>
      <c r="C63" s="21">
        <f>SUM(C50:C62)</f>
        <v>16.210042000000001</v>
      </c>
    </row>
    <row r="64" spans="1:3" ht="18">
      <c r="A64" s="30"/>
      <c r="B64" s="20" t="s">
        <v>40</v>
      </c>
      <c r="C64" s="21">
        <f>C63+C49</f>
        <v>40.765762000000002</v>
      </c>
    </row>
    <row r="65" spans="1:3" ht="18">
      <c r="A65" s="32" t="s">
        <v>4</v>
      </c>
      <c r="B65" s="33"/>
      <c r="C65" s="33"/>
    </row>
    <row r="66" spans="1:3" ht="40.5">
      <c r="A66" s="10" t="s">
        <v>8</v>
      </c>
      <c r="B66" s="11" t="s">
        <v>9</v>
      </c>
      <c r="C66" s="12" t="s">
        <v>10</v>
      </c>
    </row>
    <row r="67" spans="1:3" ht="16.5">
      <c r="A67" s="13" t="s">
        <v>11</v>
      </c>
      <c r="B67" s="14" t="s">
        <v>14</v>
      </c>
      <c r="C67" s="16">
        <f>25421/100000</f>
        <v>0.25420999999999999</v>
      </c>
    </row>
    <row r="68" spans="1:3" ht="16.5">
      <c r="A68" s="13" t="s">
        <v>13</v>
      </c>
      <c r="B68" s="14" t="s">
        <v>42</v>
      </c>
      <c r="C68" s="15">
        <f>105401/100000</f>
        <v>1.0540099999999999</v>
      </c>
    </row>
    <row r="69" spans="1:3" ht="16.5">
      <c r="A69" s="34"/>
      <c r="B69" s="14" t="s">
        <v>15</v>
      </c>
      <c r="C69" s="17">
        <f>325555/100000</f>
        <v>3.2555499999999999</v>
      </c>
    </row>
    <row r="70" spans="1:3" ht="16.5">
      <c r="A70" s="34"/>
      <c r="B70" s="14" t="s">
        <v>39</v>
      </c>
      <c r="C70" s="16">
        <f>1097000/100000</f>
        <v>10.97</v>
      </c>
    </row>
    <row r="71" spans="1:3" ht="16.5">
      <c r="A71" s="34"/>
      <c r="B71" s="14" t="s">
        <v>16</v>
      </c>
      <c r="C71" s="15">
        <f>235953/100000</f>
        <v>2.3595299999999999</v>
      </c>
    </row>
    <row r="72" spans="1:3" ht="16.5">
      <c r="A72" s="34"/>
      <c r="B72" s="14" t="s">
        <v>49</v>
      </c>
      <c r="C72" s="15">
        <f>167796/100000</f>
        <v>1.6779599999999999</v>
      </c>
    </row>
    <row r="73" spans="1:3" ht="16.5">
      <c r="A73" s="34"/>
      <c r="B73" s="14" t="s">
        <v>43</v>
      </c>
      <c r="C73" s="15">
        <f>12118/100000</f>
        <v>0.12118</v>
      </c>
    </row>
    <row r="74" spans="1:3" ht="16.5">
      <c r="A74" s="34"/>
      <c r="B74" s="14" t="s">
        <v>44</v>
      </c>
      <c r="C74" s="15">
        <f>6670/100000</f>
        <v>6.6699999999999995E-2</v>
      </c>
    </row>
    <row r="75" spans="1:3" ht="16.5">
      <c r="A75" s="34"/>
      <c r="B75" s="14" t="s">
        <v>48</v>
      </c>
      <c r="C75" s="15">
        <f>103916/100000</f>
        <v>1.0391600000000001</v>
      </c>
    </row>
    <row r="76" spans="1:3" ht="16.5">
      <c r="A76" s="34"/>
      <c r="B76" s="14" t="s">
        <v>22</v>
      </c>
      <c r="C76" s="17">
        <f>55852/100000</f>
        <v>0.55852000000000002</v>
      </c>
    </row>
    <row r="77" spans="1:3" ht="16.5">
      <c r="A77" s="34"/>
      <c r="B77" s="14" t="s">
        <v>23</v>
      </c>
      <c r="C77" s="17">
        <f>223020/100000</f>
        <v>2.2302</v>
      </c>
    </row>
    <row r="78" spans="1:3" ht="16.5">
      <c r="A78" s="34"/>
      <c r="B78" s="14" t="s">
        <v>24</v>
      </c>
      <c r="C78" s="17">
        <f>4500/100000</f>
        <v>4.4999999999999998E-2</v>
      </c>
    </row>
    <row r="79" spans="1:3" ht="18">
      <c r="A79" s="30"/>
      <c r="B79" s="20" t="s">
        <v>25</v>
      </c>
      <c r="C79" s="35">
        <f>SUM(C67:C78)</f>
        <v>23.632020000000001</v>
      </c>
    </row>
    <row r="80" spans="1:3" ht="27">
      <c r="A80" s="22" t="s">
        <v>26</v>
      </c>
      <c r="B80" s="14" t="s">
        <v>28</v>
      </c>
      <c r="C80" s="23">
        <f>611256/100000</f>
        <v>6.1125600000000002</v>
      </c>
    </row>
    <row r="81" spans="1:3" ht="16.5">
      <c r="A81" s="30"/>
      <c r="B81" s="14" t="s">
        <v>50</v>
      </c>
      <c r="C81" s="23">
        <f>ROUND((90812+13699)/100000,2)</f>
        <v>1.05</v>
      </c>
    </row>
    <row r="82" spans="1:3" ht="16.5">
      <c r="A82" s="30"/>
      <c r="B82" s="14" t="s">
        <v>45</v>
      </c>
      <c r="C82" s="23">
        <f>50000/100000</f>
        <v>0.5</v>
      </c>
    </row>
    <row r="83" spans="1:3" ht="16.5">
      <c r="A83" s="30"/>
      <c r="B83" s="24" t="s">
        <v>30</v>
      </c>
      <c r="C83" s="23">
        <f>8250/100000</f>
        <v>8.2500000000000004E-2</v>
      </c>
    </row>
    <row r="84" spans="1:3" ht="16.5">
      <c r="A84" s="30"/>
      <c r="B84" s="23" t="s">
        <v>31</v>
      </c>
      <c r="C84" s="17">
        <f>10000/100000</f>
        <v>0.1</v>
      </c>
    </row>
    <row r="85" spans="1:3" ht="16.5">
      <c r="A85" s="30"/>
      <c r="B85" s="23" t="s">
        <v>33</v>
      </c>
      <c r="C85" s="17">
        <f>2737/100000</f>
        <v>2.7369999999999998E-2</v>
      </c>
    </row>
    <row r="86" spans="1:3" ht="16.5">
      <c r="A86" s="30"/>
      <c r="B86" s="23" t="s">
        <v>46</v>
      </c>
      <c r="C86" s="17">
        <f>3400/100000</f>
        <v>3.4000000000000002E-2</v>
      </c>
    </row>
    <row r="87" spans="1:3" ht="16.5">
      <c r="A87" s="30"/>
      <c r="B87" s="23" t="s">
        <v>34</v>
      </c>
      <c r="C87" s="17">
        <f>20614/100000</f>
        <v>0.20613999999999999</v>
      </c>
    </row>
    <row r="88" spans="1:3" ht="16.5">
      <c r="A88" s="30"/>
      <c r="B88" s="23" t="s">
        <v>35</v>
      </c>
      <c r="C88" s="17">
        <f>354694.2/100000</f>
        <v>3.546942</v>
      </c>
    </row>
    <row r="89" spans="1:3" ht="16.5">
      <c r="A89" s="30"/>
      <c r="B89" s="23" t="s">
        <v>36</v>
      </c>
      <c r="C89" s="17">
        <f>42820/100000</f>
        <v>0.42820000000000003</v>
      </c>
    </row>
    <row r="90" spans="1:3" ht="16.5">
      <c r="A90" s="30"/>
      <c r="B90" s="14" t="s">
        <v>47</v>
      </c>
      <c r="C90" s="15">
        <f>4845/100000</f>
        <v>4.845E-2</v>
      </c>
    </row>
    <row r="91" spans="1:3" ht="18">
      <c r="A91" s="30"/>
      <c r="B91" s="20" t="s">
        <v>25</v>
      </c>
      <c r="C91" s="36">
        <f>SUM(C80:C90)</f>
        <v>12.136162000000001</v>
      </c>
    </row>
    <row r="92" spans="1:3" ht="18">
      <c r="A92" s="30"/>
      <c r="B92" s="20" t="s">
        <v>40</v>
      </c>
      <c r="C92" s="36">
        <f>C91+C79</f>
        <v>35.768182000000003</v>
      </c>
    </row>
    <row r="93" spans="1:3" ht="18">
      <c r="A93" s="4" t="s">
        <v>5</v>
      </c>
      <c r="B93" s="5"/>
      <c r="C93" s="5"/>
    </row>
    <row r="94" spans="1:3" ht="40.5">
      <c r="A94" s="10" t="s">
        <v>8</v>
      </c>
      <c r="B94" s="11" t="s">
        <v>9</v>
      </c>
      <c r="C94" s="12" t="s">
        <v>10</v>
      </c>
    </row>
    <row r="95" spans="1:3" ht="16.5">
      <c r="A95" s="13" t="s">
        <v>11</v>
      </c>
      <c r="B95" s="14" t="s">
        <v>14</v>
      </c>
      <c r="C95" s="16">
        <f>27732/100000</f>
        <v>0.27732000000000001</v>
      </c>
    </row>
    <row r="96" spans="1:3" ht="16.5">
      <c r="A96" s="13" t="s">
        <v>13</v>
      </c>
      <c r="B96" s="14" t="s">
        <v>42</v>
      </c>
      <c r="C96" s="15">
        <f>255577/100000</f>
        <v>2.5557699999999999</v>
      </c>
    </row>
    <row r="97" spans="1:3" ht="16.5">
      <c r="A97" s="13"/>
      <c r="B97" s="14" t="s">
        <v>15</v>
      </c>
      <c r="C97" s="17">
        <f>315221/100000</f>
        <v>3.1522100000000002</v>
      </c>
    </row>
    <row r="98" spans="1:3" ht="16.5">
      <c r="A98" s="13"/>
      <c r="B98" s="14" t="s">
        <v>39</v>
      </c>
      <c r="C98" s="16">
        <f>1097000/100000</f>
        <v>10.97</v>
      </c>
    </row>
    <row r="99" spans="1:3" ht="16.5">
      <c r="A99" s="13"/>
      <c r="B99" s="14" t="s">
        <v>16</v>
      </c>
      <c r="C99" s="15">
        <f>314096/100000</f>
        <v>3.1409600000000002</v>
      </c>
    </row>
    <row r="100" spans="1:3" ht="16.5">
      <c r="A100" s="13"/>
      <c r="B100" s="14" t="s">
        <v>49</v>
      </c>
      <c r="C100" s="15">
        <f>207224/100000</f>
        <v>2.0722399999999999</v>
      </c>
    </row>
    <row r="101" spans="1:3" ht="16.5">
      <c r="A101" s="13"/>
      <c r="B101" s="14" t="s">
        <v>43</v>
      </c>
      <c r="C101" s="15">
        <f>92956/100000</f>
        <v>0.92956000000000005</v>
      </c>
    </row>
    <row r="102" spans="1:3" ht="16.5">
      <c r="A102" s="13"/>
      <c r="B102" s="14" t="s">
        <v>51</v>
      </c>
      <c r="C102" s="15">
        <f>26182/100000</f>
        <v>0.26182</v>
      </c>
    </row>
    <row r="103" spans="1:3" ht="16.5">
      <c r="A103" s="13"/>
      <c r="B103" s="14" t="s">
        <v>44</v>
      </c>
      <c r="C103" s="15">
        <f>8724/100000</f>
        <v>8.7239999999999998E-2</v>
      </c>
    </row>
    <row r="104" spans="1:3" ht="16.5">
      <c r="A104" s="13"/>
      <c r="B104" s="14" t="s">
        <v>22</v>
      </c>
      <c r="C104" s="17">
        <f>20489/100000</f>
        <v>0.20488999999999999</v>
      </c>
    </row>
    <row r="105" spans="1:3" ht="16.5">
      <c r="A105" s="13"/>
      <c r="B105" s="14" t="s">
        <v>23</v>
      </c>
      <c r="C105" s="17">
        <f>230690/100000</f>
        <v>2.3069000000000002</v>
      </c>
    </row>
    <row r="106" spans="1:3" ht="18">
      <c r="A106" s="30"/>
      <c r="B106" s="20" t="s">
        <v>25</v>
      </c>
      <c r="C106" s="36">
        <f>SUM(C95:C105)</f>
        <v>25.958909999999999</v>
      </c>
    </row>
    <row r="107" spans="1:3" ht="27">
      <c r="A107" s="22" t="s">
        <v>26</v>
      </c>
      <c r="B107" s="14" t="s">
        <v>52</v>
      </c>
      <c r="C107" s="23">
        <f>3307/100000</f>
        <v>3.3070000000000002E-2</v>
      </c>
    </row>
    <row r="108" spans="1:3" ht="16.5">
      <c r="A108" s="31"/>
      <c r="B108" s="14" t="s">
        <v>50</v>
      </c>
      <c r="C108" s="23">
        <f>ROUND((283425+34017.44)/100000,2)</f>
        <v>3.17</v>
      </c>
    </row>
    <row r="109" spans="1:3" ht="16.5">
      <c r="A109" s="31"/>
      <c r="B109" s="14" t="s">
        <v>53</v>
      </c>
      <c r="C109" s="23">
        <f>3170/100000</f>
        <v>3.1699999999999999E-2</v>
      </c>
    </row>
    <row r="110" spans="1:3" ht="16.5">
      <c r="A110" s="31"/>
      <c r="B110" s="24" t="s">
        <v>30</v>
      </c>
      <c r="C110" s="23">
        <f>8230/100000</f>
        <v>8.2299999999999998E-2</v>
      </c>
    </row>
    <row r="111" spans="1:3" ht="16.5">
      <c r="A111" s="31"/>
      <c r="B111" s="23" t="s">
        <v>54</v>
      </c>
      <c r="C111" s="23">
        <f>159512/100000</f>
        <v>1.5951200000000001</v>
      </c>
    </row>
    <row r="112" spans="1:3" ht="16.5">
      <c r="A112" s="31"/>
      <c r="B112" s="23" t="s">
        <v>31</v>
      </c>
      <c r="C112" s="17">
        <f>55846/100000</f>
        <v>0.55845999999999996</v>
      </c>
    </row>
    <row r="113" spans="1:3" ht="16.5">
      <c r="A113" s="31"/>
      <c r="B113" s="23" t="s">
        <v>55</v>
      </c>
      <c r="C113" s="23">
        <f>12600/100000</f>
        <v>0.126</v>
      </c>
    </row>
    <row r="114" spans="1:3" ht="16.5">
      <c r="A114" s="31"/>
      <c r="B114" s="23" t="s">
        <v>33</v>
      </c>
      <c r="C114" s="17">
        <f>11112/100000</f>
        <v>0.11112</v>
      </c>
    </row>
    <row r="115" spans="1:3" ht="16.5">
      <c r="A115" s="31"/>
      <c r="B115" s="23" t="s">
        <v>46</v>
      </c>
      <c r="C115" s="17">
        <f>42611/100000</f>
        <v>0.42610999999999999</v>
      </c>
    </row>
    <row r="116" spans="1:3" ht="16.5">
      <c r="A116" s="31"/>
      <c r="B116" s="24" t="s">
        <v>56</v>
      </c>
      <c r="C116" s="17">
        <f>11649/100000</f>
        <v>0.11649</v>
      </c>
    </row>
    <row r="117" spans="1:3" ht="16.5">
      <c r="A117" s="31"/>
      <c r="B117" s="23" t="s">
        <v>34</v>
      </c>
      <c r="C117" s="17">
        <f>55212/100000</f>
        <v>0.55212000000000006</v>
      </c>
    </row>
    <row r="118" spans="1:3" ht="16.5">
      <c r="A118" s="31"/>
      <c r="B118" s="23" t="s">
        <v>35</v>
      </c>
      <c r="C118" s="17">
        <f>248337.2/100000</f>
        <v>2.4833720000000001</v>
      </c>
    </row>
    <row r="119" spans="1:3" ht="16.5">
      <c r="A119" s="31"/>
      <c r="B119" s="23" t="s">
        <v>36</v>
      </c>
      <c r="C119" s="17">
        <f>66053/100000</f>
        <v>0.66052999999999995</v>
      </c>
    </row>
    <row r="120" spans="1:3" ht="16.5">
      <c r="A120" s="31"/>
      <c r="B120" s="24" t="s">
        <v>57</v>
      </c>
      <c r="C120" s="17">
        <f>49473/100000</f>
        <v>0.49473</v>
      </c>
    </row>
    <row r="121" spans="1:3" ht="16.5">
      <c r="A121" s="31"/>
      <c r="B121" s="24" t="s">
        <v>58</v>
      </c>
      <c r="C121" s="17">
        <f>4200/100000</f>
        <v>4.2000000000000003E-2</v>
      </c>
    </row>
    <row r="122" spans="1:3" ht="16.5">
      <c r="A122" s="31"/>
      <c r="B122" s="14" t="s">
        <v>47</v>
      </c>
      <c r="C122" s="15">
        <f>14870/100000</f>
        <v>0.1487</v>
      </c>
    </row>
    <row r="123" spans="1:3" ht="16.5">
      <c r="A123" s="31"/>
      <c r="B123" s="14" t="s">
        <v>48</v>
      </c>
      <c r="C123" s="15">
        <f>238529/100000</f>
        <v>2.3852899999999999</v>
      </c>
    </row>
    <row r="124" spans="1:3" ht="18">
      <c r="A124" s="37"/>
      <c r="B124" s="20" t="s">
        <v>25</v>
      </c>
      <c r="C124" s="36">
        <f>SUM(C107:C123)</f>
        <v>13.017111999999999</v>
      </c>
    </row>
    <row r="125" spans="1:3" ht="18">
      <c r="A125" s="37"/>
      <c r="B125" s="20" t="s">
        <v>40</v>
      </c>
      <c r="C125" s="36">
        <f>C124+C106</f>
        <v>38.976022</v>
      </c>
    </row>
    <row r="126" spans="1:3" ht="18">
      <c r="A126" s="4" t="s">
        <v>6</v>
      </c>
      <c r="B126" s="5"/>
      <c r="C126" s="5"/>
    </row>
    <row r="127" spans="1:3" ht="40.5">
      <c r="A127" s="10" t="s">
        <v>8</v>
      </c>
      <c r="B127" s="11" t="s">
        <v>9</v>
      </c>
      <c r="C127" s="12" t="s">
        <v>10</v>
      </c>
    </row>
    <row r="128" spans="1:3" ht="16.5">
      <c r="A128" s="13" t="s">
        <v>11</v>
      </c>
      <c r="B128" s="14" t="s">
        <v>14</v>
      </c>
      <c r="C128" s="16">
        <f>27732/100000</f>
        <v>0.27732000000000001</v>
      </c>
    </row>
    <row r="129" spans="1:3" ht="16.5">
      <c r="A129" s="13" t="s">
        <v>13</v>
      </c>
      <c r="B129" s="14" t="s">
        <v>42</v>
      </c>
      <c r="C129" s="15">
        <f>315207/100000</f>
        <v>3.1520700000000001</v>
      </c>
    </row>
    <row r="130" spans="1:3" ht="16.5">
      <c r="A130" s="25"/>
      <c r="B130" s="14" t="s">
        <v>15</v>
      </c>
      <c r="C130" s="17">
        <f>314669/100000</f>
        <v>3.14669</v>
      </c>
    </row>
    <row r="131" spans="1:3" ht="16.5">
      <c r="A131" s="25"/>
      <c r="B131" s="14" t="s">
        <v>39</v>
      </c>
      <c r="C131" s="16">
        <v>13.47</v>
      </c>
    </row>
    <row r="132" spans="1:3" ht="16.5">
      <c r="A132" s="25"/>
      <c r="B132" s="14" t="s">
        <v>16</v>
      </c>
      <c r="C132" s="15">
        <f>300020/100000</f>
        <v>3.0002</v>
      </c>
    </row>
    <row r="133" spans="1:3" ht="16.5">
      <c r="A133" s="25"/>
      <c r="B133" s="14" t="s">
        <v>49</v>
      </c>
      <c r="C133" s="15">
        <f>164188/100000</f>
        <v>1.64188</v>
      </c>
    </row>
    <row r="134" spans="1:3" ht="16.5">
      <c r="A134" s="25"/>
      <c r="B134" s="14" t="s">
        <v>43</v>
      </c>
      <c r="C134" s="15">
        <f>267049/100000</f>
        <v>2.67049</v>
      </c>
    </row>
    <row r="135" spans="1:3" ht="16.5">
      <c r="A135" s="25"/>
      <c r="B135" s="14" t="s">
        <v>51</v>
      </c>
      <c r="C135" s="15">
        <f>10556/100000</f>
        <v>0.10556</v>
      </c>
    </row>
    <row r="136" spans="1:3" ht="16.5">
      <c r="A136" s="25"/>
      <c r="B136" s="14" t="s">
        <v>48</v>
      </c>
      <c r="C136" s="15">
        <f>ROUND((105565+92224)/100000,2)</f>
        <v>1.98</v>
      </c>
    </row>
    <row r="137" spans="1:3" ht="16.5">
      <c r="A137" s="25"/>
      <c r="B137" s="14" t="s">
        <v>22</v>
      </c>
      <c r="C137" s="17">
        <f>38440/100000</f>
        <v>0.38440000000000002</v>
      </c>
    </row>
    <row r="138" spans="1:3" ht="16.5">
      <c r="A138" s="25"/>
      <c r="B138" s="14" t="s">
        <v>23</v>
      </c>
      <c r="C138" s="17">
        <f>223020/100000</f>
        <v>2.2302</v>
      </c>
    </row>
    <row r="139" spans="1:3" ht="16.5">
      <c r="A139" s="25"/>
      <c r="B139" s="23" t="s">
        <v>59</v>
      </c>
      <c r="C139" s="15">
        <f>55038/100000</f>
        <v>0.55037999999999998</v>
      </c>
    </row>
    <row r="140" spans="1:3" ht="18">
      <c r="A140" s="37"/>
      <c r="B140" s="20" t="s">
        <v>25</v>
      </c>
      <c r="C140" s="38">
        <f>SUM(C128:C139)</f>
        <v>32.609189999999998</v>
      </c>
    </row>
    <row r="141" spans="1:3" ht="27">
      <c r="A141" s="22" t="s">
        <v>26</v>
      </c>
      <c r="B141" s="14" t="s">
        <v>60</v>
      </c>
      <c r="C141" s="23">
        <f>29087/100000</f>
        <v>0.29087000000000002</v>
      </c>
    </row>
    <row r="142" spans="1:3" ht="16.5">
      <c r="A142" s="22"/>
      <c r="B142" s="14" t="s">
        <v>52</v>
      </c>
      <c r="C142" s="23">
        <f>8221/100000</f>
        <v>8.2210000000000005E-2</v>
      </c>
    </row>
    <row r="143" spans="1:3" ht="16.5">
      <c r="A143" s="22"/>
      <c r="B143" s="24" t="s">
        <v>30</v>
      </c>
      <c r="C143" s="23">
        <f>8800/100000</f>
        <v>8.7999999999999995E-2</v>
      </c>
    </row>
    <row r="144" spans="1:3" ht="16.5">
      <c r="A144" s="22"/>
      <c r="B144" s="23" t="s">
        <v>61</v>
      </c>
      <c r="C144" s="23">
        <f>7470/100000</f>
        <v>7.4700000000000003E-2</v>
      </c>
    </row>
    <row r="145" spans="1:3" ht="16.5">
      <c r="A145" s="22"/>
      <c r="B145" s="23" t="s">
        <v>31</v>
      </c>
      <c r="C145" s="17">
        <f>53952/100000</f>
        <v>0.53952</v>
      </c>
    </row>
    <row r="146" spans="1:3" ht="16.5">
      <c r="A146" s="22"/>
      <c r="B146" s="23" t="s">
        <v>55</v>
      </c>
      <c r="C146" s="23">
        <f>23200/100000</f>
        <v>0.23200000000000001</v>
      </c>
    </row>
    <row r="147" spans="1:3" ht="16.5">
      <c r="A147" s="22"/>
      <c r="B147" s="23" t="s">
        <v>33</v>
      </c>
      <c r="C147" s="17">
        <f>11762/100000</f>
        <v>0.11762</v>
      </c>
    </row>
    <row r="148" spans="1:3" ht="16.5">
      <c r="A148" s="22"/>
      <c r="B148" s="23" t="s">
        <v>46</v>
      </c>
      <c r="C148" s="17">
        <f>37888/100000</f>
        <v>0.37887999999999999</v>
      </c>
    </row>
    <row r="149" spans="1:3" ht="16.5">
      <c r="A149" s="22"/>
      <c r="B149" s="24" t="s">
        <v>62</v>
      </c>
      <c r="C149" s="17">
        <f>13454/100000</f>
        <v>0.13453999999999999</v>
      </c>
    </row>
    <row r="150" spans="1:3" ht="16.5">
      <c r="A150" s="22"/>
      <c r="B150" s="23" t="s">
        <v>63</v>
      </c>
      <c r="C150" s="17">
        <f>30010/100000</f>
        <v>0.30009999999999998</v>
      </c>
    </row>
    <row r="151" spans="1:3" ht="16.5">
      <c r="A151" s="22"/>
      <c r="B151" s="23" t="s">
        <v>34</v>
      </c>
      <c r="C151" s="17">
        <f>188576/100000</f>
        <v>1.8857600000000001</v>
      </c>
    </row>
    <row r="152" spans="1:3" ht="16.5">
      <c r="A152" s="22"/>
      <c r="B152" s="23" t="s">
        <v>35</v>
      </c>
      <c r="C152" s="17">
        <f>135277.97/100000</f>
        <v>1.3527796999999999</v>
      </c>
    </row>
    <row r="153" spans="1:3" ht="16.5">
      <c r="A153" s="22"/>
      <c r="B153" s="23" t="s">
        <v>36</v>
      </c>
      <c r="C153" s="17">
        <f>154586/100000</f>
        <v>1.54586</v>
      </c>
    </row>
    <row r="154" spans="1:3" ht="16.5">
      <c r="A154" s="22"/>
      <c r="B154" s="24" t="s">
        <v>57</v>
      </c>
      <c r="C154" s="17">
        <f>13702/100000</f>
        <v>0.13702</v>
      </c>
    </row>
    <row r="155" spans="1:3" ht="16.5">
      <c r="A155" s="22"/>
      <c r="B155" s="14" t="s">
        <v>47</v>
      </c>
      <c r="C155" s="15">
        <f>800162/100000</f>
        <v>8.0016200000000008</v>
      </c>
    </row>
    <row r="156" spans="1:3" ht="18">
      <c r="A156" s="25"/>
      <c r="B156" s="20" t="s">
        <v>25</v>
      </c>
      <c r="C156" s="38">
        <f>SUM(C141:C155)</f>
        <v>15.161479700000001</v>
      </c>
    </row>
    <row r="157" spans="1:3" ht="18">
      <c r="A157" s="39"/>
      <c r="B157" s="20" t="s">
        <v>40</v>
      </c>
      <c r="C157" s="40">
        <f>C156+C140</f>
        <v>47.770669699999999</v>
      </c>
    </row>
  </sheetData>
  <mergeCells count="8">
    <mergeCell ref="A126:C126"/>
    <mergeCell ref="A1:C1"/>
    <mergeCell ref="A2:C2"/>
    <mergeCell ref="A4:C4"/>
    <mergeCell ref="A35:C35"/>
    <mergeCell ref="A65:C65"/>
    <mergeCell ref="A3:C3"/>
    <mergeCell ref="A93:C93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admin</cp:lastModifiedBy>
  <dcterms:created xsi:type="dcterms:W3CDTF">2023-10-17T05:18:25Z</dcterms:created>
  <dcterms:modified xsi:type="dcterms:W3CDTF">2024-02-29T05:09:06Z</dcterms:modified>
</cp:coreProperties>
</file>